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<sst xmlns="http://schemas.openxmlformats.org/spreadsheetml/2006/main" count="163" uniqueCount="112">
  <si>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</si>
  <si>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</si>
  <si>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</si>
  <si>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</si>
  <si>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</si>
  <si>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</si>
  <si>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</si>
  <si>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</si>
  <si>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</si>
  <si>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</si>
  <si>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</si>
  <si>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</si>
  <si>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</si>
  <si>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</si>
  <si>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</si>
  <si>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</si>
  <si>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</si>
  <si>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</si>
  <si>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</si>
  <si>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</si>
  <si>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</si>
  <si>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</si>
  <si>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</si>
  <si>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</si>
  <si>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</si>
  <si>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</si>
  <si>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</si>
  <si>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</si>
  <si>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</si>
  <si>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</si>
  <si>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</si>
  <si>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</si>
  <si>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</si>
  <si>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</si>
  <si>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</si>
  <si>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</si>
  <si>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</si>
  <si>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</si>
  <si>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</si>
  <si>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</si>
  <si>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</si>
  <si>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</si>
  <si>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</si>
  <si>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</si>
  <si>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</si>
  <si>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</si>
  <si>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</si>
  <si>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</si>
  <si>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</si>
  <si>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</si>
  <si>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</si>
  <si>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</si>
  <si>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</si>
  <si>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</si>
  <si>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</si>
  <si>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</si>
  <si>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</si>
  <si>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</si>
  <si>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</si>
  <si>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</si>
  <si>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</si>
  <si>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</si>
  <si>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</si>
  <si>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</si>
  <si>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</si>
  <si>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</si>
  <si>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</si>
  <si>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</si>
  <si>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</si>
  <si>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</si>
  <si>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</si>
  <si>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</si>
  <si>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</si>
  <si>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</si>
  <si>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</si>
  <si>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</si>
  <si>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</si>
  <si>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</si>
  <si>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</si>
  <si>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</si>
  <si>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</si>
  <si>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</si>
  <si>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</si>
  <si>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</si>
  <si>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</si>
  <si>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</si>
  <si>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</si>
  <si>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</si>
  <si>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</si>
  <si>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</si>
  <si>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</si>
  <si>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</si>
  <si>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</si>
  <si>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</si>
  <si>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</si>
  <si>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</si>
  <si>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</si>
  <si>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</si>
  <si>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</si>
  <si>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</si>
  <si>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</si>
  <si>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</si>
  <si>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</si>
  <si>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</si>
  <si>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</si>
  <si>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</si>
  <si>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</si>
  <si>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</si>
  <si>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</si>
  <si>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</si>
  <si>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</si>
  <si>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загального фонду міського бюджету станом на 10.07.2017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</si>
</sst>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54183.40000000001</c:v>
                </c:pt>
                <c:pt idx="1">
                  <c:v>49894.00000000001</c:v>
                </c:pt>
                <c:pt idx="2">
                  <c:v>1221.2000000000003</c:v>
                </c:pt>
                <c:pt idx="3">
                  <c:v>3068.200000000001</c:v>
                </c:pt>
              </c:numCache>
            </c:numRef>
          </c:val>
          <c:shape val="box"/>
        </c:ser>
        <c:shape val="box"/>
        <c:axId val="1853502"/>
        <c:axId val="16681519"/>
      </c:bar3DChart>
      <c:catAx>
        <c:axId val="18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81519"/>
        <c:crosses val="autoZero"/>
        <c:auto val="1"/>
        <c:lblOffset val="100"/>
        <c:tickLblSkip val="1"/>
        <c:noMultiLvlLbl val="0"/>
      </c:catAx>
      <c:valAx>
        <c:axId val="16681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638939.4999999999</c:v>
                </c:pt>
                <c:pt idx="1">
                  <c:v>243536.9</c:v>
                </c:pt>
                <c:pt idx="2">
                  <c:v>497314.5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19141.899999999885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350619.4</c:v>
                </c:pt>
                <c:pt idx="1">
                  <c:v>138519.6</c:v>
                </c:pt>
                <c:pt idx="2">
                  <c:v>277289.3</c:v>
                </c:pt>
                <c:pt idx="3">
                  <c:v>23.1</c:v>
                </c:pt>
                <c:pt idx="4">
                  <c:v>17575.1</c:v>
                </c:pt>
                <c:pt idx="5">
                  <c:v>44646.299999999996</c:v>
                </c:pt>
                <c:pt idx="6">
                  <c:v>6576.199999999999</c:v>
                </c:pt>
                <c:pt idx="7">
                  <c:v>4509.400000000036</c:v>
                </c:pt>
              </c:numCache>
            </c:numRef>
          </c:val>
          <c:shape val="box"/>
        </c:ser>
        <c:shape val="box"/>
        <c:axId val="15915944"/>
        <c:axId val="9025769"/>
      </c:bar3DChart>
      <c:catAx>
        <c:axId val="15915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25769"/>
        <c:crosses val="autoZero"/>
        <c:auto val="1"/>
        <c:lblOffset val="100"/>
        <c:tickLblSkip val="1"/>
        <c:noMultiLvlLbl val="0"/>
      </c:catAx>
      <c:valAx>
        <c:axId val="9025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15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188384.1</c:v>
                </c:pt>
                <c:pt idx="1">
                  <c:v>117277.30000000003</c:v>
                </c:pt>
                <c:pt idx="2">
                  <c:v>188384.1</c:v>
                </c:pt>
              </c:numCache>
            </c:numRef>
          </c:val>
          <c:shape val="box"/>
        </c:ser>
        <c:shape val="box"/>
        <c:axId val="14123058"/>
        <c:axId val="59998659"/>
      </c:bar3DChart>
      <c:catAx>
        <c:axId val="1412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98659"/>
        <c:crosses val="autoZero"/>
        <c:auto val="1"/>
        <c:lblOffset val="100"/>
        <c:tickLblSkip val="1"/>
        <c:noMultiLvlLbl val="0"/>
      </c:catAx>
      <c:valAx>
        <c:axId val="59998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30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64549.8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34393.499999999985</c:v>
                </c:pt>
                <c:pt idx="1">
                  <c:v>28927.2</c:v>
                </c:pt>
                <c:pt idx="2">
                  <c:v>1503.8</c:v>
                </c:pt>
                <c:pt idx="3">
                  <c:v>292.90000000000003</c:v>
                </c:pt>
                <c:pt idx="4">
                  <c:v>25.5</c:v>
                </c:pt>
                <c:pt idx="5">
                  <c:v>3644.0999999999844</c:v>
                </c:pt>
              </c:numCache>
            </c:numRef>
          </c:val>
          <c:shape val="box"/>
        </c:ser>
        <c:shape val="box"/>
        <c:axId val="3117020"/>
        <c:axId val="28053181"/>
      </c:bar3DChart>
      <c:catAx>
        <c:axId val="311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53181"/>
        <c:crosses val="autoZero"/>
        <c:auto val="1"/>
        <c:lblOffset val="100"/>
        <c:tickLblSkip val="1"/>
        <c:noMultiLvlLbl val="0"/>
      </c:catAx>
      <c:valAx>
        <c:axId val="28053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7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11808.699999999999</c:v>
                </c:pt>
                <c:pt idx="1">
                  <c:v>7497.5</c:v>
                </c:pt>
                <c:pt idx="3">
                  <c:v>321.1999999999999</c:v>
                </c:pt>
                <c:pt idx="4">
                  <c:v>495.90000000000015</c:v>
                </c:pt>
                <c:pt idx="5">
                  <c:v>240</c:v>
                </c:pt>
                <c:pt idx="6">
                  <c:v>3254.099999999999</c:v>
                </c:pt>
              </c:numCache>
            </c:numRef>
          </c:val>
          <c:shape val="box"/>
        </c:ser>
        <c:shape val="box"/>
        <c:axId val="51152038"/>
        <c:axId val="57715159"/>
      </c:bar3DChart>
      <c:catAx>
        <c:axId val="511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15159"/>
        <c:crosses val="autoZero"/>
        <c:auto val="1"/>
        <c:lblOffset val="100"/>
        <c:tickLblSkip val="2"/>
        <c:noMultiLvlLbl val="0"/>
      </c:catAx>
      <c:valAx>
        <c:axId val="57715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52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1564.1000000000004</c:v>
                </c:pt>
                <c:pt idx="1">
                  <c:v>1224.7</c:v>
                </c:pt>
                <c:pt idx="2">
                  <c:v>3.2</c:v>
                </c:pt>
                <c:pt idx="3">
                  <c:v>203.09999999999997</c:v>
                </c:pt>
                <c:pt idx="5">
                  <c:v>133.10000000000036</c:v>
                </c:pt>
              </c:numCache>
            </c:numRef>
          </c:val>
          <c:shape val="box"/>
        </c:ser>
        <c:shape val="box"/>
        <c:axId val="49674384"/>
        <c:axId val="44416273"/>
      </c:bar3D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16273"/>
        <c:crosses val="autoZero"/>
        <c:auto val="1"/>
        <c:lblOffset val="100"/>
        <c:tickLblSkip val="1"/>
        <c:noMultiLvlLbl val="0"/>
      </c:catAx>
      <c:valAx>
        <c:axId val="44416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4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65535.100000000006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32001.600000000002</c:v>
                </c:pt>
              </c:numCache>
            </c:numRef>
          </c:val>
          <c:shape val="box"/>
        </c:ser>
        <c:shape val="box"/>
        <c:axId val="64202138"/>
        <c:axId val="40948331"/>
      </c:bar3D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948331"/>
        <c:crosses val="autoZero"/>
        <c:auto val="1"/>
        <c:lblOffset val="100"/>
        <c:tickLblSkip val="1"/>
        <c:noMultiLvlLbl val="0"/>
      </c:catAx>
      <c:valAx>
        <c:axId val="40948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021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638939.4999999999</c:v>
                </c:pt>
                <c:pt idx="1">
                  <c:v>362954.1</c:v>
                </c:pt>
                <c:pt idx="2">
                  <c:v>64549.8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65535.100000000006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350619.4</c:v>
                </c:pt>
                <c:pt idx="1">
                  <c:v>188384.1</c:v>
                </c:pt>
                <c:pt idx="2">
                  <c:v>34393.499999999985</c:v>
                </c:pt>
                <c:pt idx="3">
                  <c:v>11808.699999999999</c:v>
                </c:pt>
                <c:pt idx="4">
                  <c:v>1564.1000000000004</c:v>
                </c:pt>
                <c:pt idx="5">
                  <c:v>54183.40000000001</c:v>
                </c:pt>
                <c:pt idx="6">
                  <c:v>32001.600000000002</c:v>
                </c:pt>
              </c:numCache>
            </c:numRef>
          </c:val>
          <c:shape val="box"/>
        </c:ser>
        <c:shape val="box"/>
        <c:axId val="32990660"/>
        <c:axId val="28480485"/>
      </c:bar3D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80485"/>
        <c:crosses val="autoZero"/>
        <c:auto val="1"/>
        <c:lblOffset val="100"/>
        <c:tickLblSkip val="1"/>
        <c:noMultiLvlLbl val="0"/>
      </c:catAx>
      <c:valAx>
        <c:axId val="28480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906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727911</c:v>
                </c:pt>
                <c:pt idx="1">
                  <c:v>102323.1</c:v>
                </c:pt>
                <c:pt idx="2">
                  <c:v>28689.7</c:v>
                </c:pt>
                <c:pt idx="3">
                  <c:v>29512.3</c:v>
                </c:pt>
                <c:pt idx="4">
                  <c:v>106.9</c:v>
                </c:pt>
                <c:pt idx="5">
                  <c:v>991152.5999999995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370846.4</c:v>
                </c:pt>
                <c:pt idx="1">
                  <c:v>54109.49999999999</c:v>
                </c:pt>
                <c:pt idx="2">
                  <c:v>17930.2</c:v>
                </c:pt>
                <c:pt idx="3">
                  <c:v>11678.099999999999</c:v>
                </c:pt>
                <c:pt idx="4">
                  <c:v>23.900000000000002</c:v>
                </c:pt>
                <c:pt idx="5">
                  <c:v>398838.6999999999</c:v>
                </c:pt>
              </c:numCache>
            </c:numRef>
          </c:val>
          <c:shape val="box"/>
        </c:ser>
        <c:shape val="box"/>
        <c:axId val="54997774"/>
        <c:axId val="25217919"/>
      </c:bar3DChart>
      <c:catAx>
        <c:axId val="54997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17919"/>
        <c:crosses val="autoZero"/>
        <c:auto val="1"/>
        <c:lblOffset val="100"/>
        <c:tickLblSkip val="1"/>
        <c:noMultiLvlLbl val="0"/>
      </c:catAx>
      <c:valAx>
        <c:axId val="25217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7" sqref="F137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1" t="s">
        <v>111</v>
      </c>
      <c r="B1" s="131"/>
      <c r="C1" s="131"/>
      <c r="D1" s="131"/>
      <c r="E1" s="131"/>
      <c r="F1" s="131"/>
      <c r="G1" s="131"/>
      <c r="H1" s="131"/>
      <c r="I1" s="131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5" t="s">
        <v>41</v>
      </c>
      <c r="B3" s="132" t="s">
        <v>108</v>
      </c>
      <c r="C3" s="132" t="s">
        <v>90</v>
      </c>
      <c r="D3" s="132" t="s">
        <v>23</v>
      </c>
      <c r="E3" s="132" t="s">
        <v>22</v>
      </c>
      <c r="F3" s="132" t="s">
        <v>109</v>
      </c>
      <c r="G3" s="132" t="s">
        <v>92</v>
      </c>
      <c r="H3" s="132" t="s">
        <v>110</v>
      </c>
      <c r="I3" s="132" t="s">
        <v>91</v>
      </c>
    </row>
    <row r="4" spans="1:9" ht="24.75" customHeight="1">
      <c r="A4" s="136"/>
      <c r="B4" s="133"/>
      <c r="C4" s="133"/>
      <c r="D4" s="133"/>
      <c r="E4" s="133"/>
      <c r="F4" s="133"/>
      <c r="G4" s="133"/>
      <c r="H4" s="133"/>
      <c r="I4" s="133"/>
    </row>
    <row r="5" spans="1:9" ht="39" customHeight="1" thickBot="1">
      <c r="A5" s="137"/>
      <c r="B5" s="134"/>
      <c r="C5" s="134"/>
      <c r="D5" s="134"/>
      <c r="E5" s="134"/>
      <c r="F5" s="134"/>
      <c r="G5" s="134"/>
      <c r="H5" s="134"/>
      <c r="I5" s="134"/>
    </row>
    <row r="6" spans="1:9" ht="18.75" thickBot="1">
      <c r="A6" s="22" t="s">
        <v>27</v>
      </c>
      <c r="B6" s="45">
        <v>408502.5</v>
      </c>
      <c r="C6" s="46">
        <f>625865.1-190.4-316.9+47.1+50+198+5366.4+2952+4818.2+150</f>
        <v>638939.4999999999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+23001.7+12551.4+270+11.5+368.1+465.7+88.7+344.2+50+8771.1+1063.2+22747.5+0.7-2-1.1+117.9+1001.8+145.8+258.5+281.6</f>
        <v>350619.4</v>
      </c>
      <c r="E6" s="3">
        <f>D6/D151*100</f>
        <v>41.08371098728093</v>
      </c>
      <c r="F6" s="3">
        <f>D6/B6*100</f>
        <v>85.83041719450922</v>
      </c>
      <c r="G6" s="3">
        <f aca="true" t="shared" si="0" ref="G6:G43">D6/C6*100</f>
        <v>54.87521118979185</v>
      </c>
      <c r="H6" s="47">
        <f>B6-D6</f>
        <v>57883.09999999998</v>
      </c>
      <c r="I6" s="47">
        <f aca="true" t="shared" si="1" ref="I6:I43">C6-D6</f>
        <v>288320.09999999986</v>
      </c>
    </row>
    <row r="7" spans="1:9" s="37" customFormat="1" ht="18.75">
      <c r="A7" s="104" t="s">
        <v>82</v>
      </c>
      <c r="B7" s="97">
        <v>159608.6</v>
      </c>
      <c r="C7" s="94">
        <f>243287.4+47.1+202.4</f>
        <v>243536.9</v>
      </c>
      <c r="D7" s="105">
        <f>6699.4+11261.7+10.2+8073.8+9792.3+0.1+0.8+7352+6.6+10108.4-0.1+7942.1+9848.6-0.1+7861.7+17351.9+0.1+8976.7+21107.4+3648.1+8478-0.1</f>
        <v>138519.6</v>
      </c>
      <c r="E7" s="95">
        <f>D7/D6*100</f>
        <v>39.507112270456226</v>
      </c>
      <c r="F7" s="95">
        <f>D7/B7*100</f>
        <v>86.78705282798045</v>
      </c>
      <c r="G7" s="95">
        <f>D7/C7*100</f>
        <v>56.87828004708938</v>
      </c>
      <c r="H7" s="105">
        <f>B7-D7</f>
        <v>21089</v>
      </c>
      <c r="I7" s="105">
        <f t="shared" si="1"/>
        <v>105017.29999999999</v>
      </c>
    </row>
    <row r="8" spans="1:9" ht="18">
      <c r="A8" s="23" t="s">
        <v>3</v>
      </c>
      <c r="B8" s="42">
        <v>318712.2</v>
      </c>
      <c r="C8" s="43">
        <f>487771.7+47.1+4992.2+4503.5</f>
        <v>497314.5</v>
      </c>
      <c r="D8" s="44">
        <f>12945+14658+9353.4+10.2+0.1+7+16015+13071.9+6973.3+1906+3.4+7.6+13882.5+6.6+747.5+21101.8+2656.1+15.6+10047+6403+9848.6+12369.9+15042.4+0.7+17351.9+16553.3+0.1+9378.9+22855.5+11721.1+270+8478+22599.8+2+989.5+16.6</f>
        <v>277289.3</v>
      </c>
      <c r="E8" s="1">
        <f>D8/D6*100</f>
        <v>79.08555544844351</v>
      </c>
      <c r="F8" s="1">
        <f>D8/B8*100</f>
        <v>87.00303910550019</v>
      </c>
      <c r="G8" s="1">
        <f t="shared" si="0"/>
        <v>55.75733263357493</v>
      </c>
      <c r="H8" s="44">
        <f>B8-D8</f>
        <v>41422.90000000002</v>
      </c>
      <c r="I8" s="44">
        <f t="shared" si="1"/>
        <v>220025.2</v>
      </c>
    </row>
    <row r="9" spans="1:9" ht="18">
      <c r="A9" s="23" t="s">
        <v>2</v>
      </c>
      <c r="B9" s="42">
        <v>51.9</v>
      </c>
      <c r="C9" s="43">
        <v>92.5</v>
      </c>
      <c r="D9" s="44">
        <f>2.5+4.3+3.3+7+0.4+1.3+1.6+1.3+1.5-0.1</f>
        <v>23.1</v>
      </c>
      <c r="E9" s="12">
        <f>D9/D6*100</f>
        <v>0.006588340519663202</v>
      </c>
      <c r="F9" s="119">
        <f>D9/B9*100</f>
        <v>44.50867052023122</v>
      </c>
      <c r="G9" s="1">
        <f t="shared" si="0"/>
        <v>24.972972972972972</v>
      </c>
      <c r="H9" s="44">
        <f aca="true" t="shared" si="2" ref="H9:H43">B9-D9</f>
        <v>28.799999999999997</v>
      </c>
      <c r="I9" s="44">
        <f t="shared" si="1"/>
        <v>69.4</v>
      </c>
    </row>
    <row r="10" spans="1:9" ht="18">
      <c r="A10" s="23" t="s">
        <v>1</v>
      </c>
      <c r="B10" s="42">
        <v>18497.6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</f>
        <v>17575.1</v>
      </c>
      <c r="E10" s="1">
        <f>D10/D6*100</f>
        <v>5.012586297278473</v>
      </c>
      <c r="F10" s="1">
        <f aca="true" t="shared" si="3" ref="F10:F41">D10/B10*100</f>
        <v>95.01286653403685</v>
      </c>
      <c r="G10" s="1">
        <f t="shared" si="0"/>
        <v>63.99905321996249</v>
      </c>
      <c r="H10" s="44">
        <f t="shared" si="2"/>
        <v>922.5</v>
      </c>
      <c r="I10" s="44">
        <f t="shared" si="1"/>
        <v>9886.400000000001</v>
      </c>
    </row>
    <row r="11" spans="1:9" ht="18">
      <c r="A11" s="23" t="s">
        <v>0</v>
      </c>
      <c r="B11" s="42">
        <v>52506.2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</f>
        <v>44646.299999999996</v>
      </c>
      <c r="E11" s="1">
        <f>D11/D6*100</f>
        <v>12.733550967231134</v>
      </c>
      <c r="F11" s="1">
        <f t="shared" si="3"/>
        <v>85.03052972791785</v>
      </c>
      <c r="G11" s="1">
        <f t="shared" si="0"/>
        <v>55.18667993399299</v>
      </c>
      <c r="H11" s="44">
        <f t="shared" si="2"/>
        <v>7859.9000000000015</v>
      </c>
      <c r="I11" s="44">
        <f t="shared" si="1"/>
        <v>36254.200000000004</v>
      </c>
    </row>
    <row r="12" spans="1:9" ht="18">
      <c r="A12" s="23" t="s">
        <v>14</v>
      </c>
      <c r="B12" s="42">
        <v>8027.8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</f>
        <v>6576.199999999999</v>
      </c>
      <c r="E12" s="1">
        <f>D12/D6*100</f>
        <v>1.87559501841598</v>
      </c>
      <c r="F12" s="1">
        <f t="shared" si="3"/>
        <v>81.91783552156255</v>
      </c>
      <c r="G12" s="1">
        <f t="shared" si="0"/>
        <v>46.87709393667222</v>
      </c>
      <c r="H12" s="44">
        <f t="shared" si="2"/>
        <v>1451.6000000000013</v>
      </c>
      <c r="I12" s="44">
        <f t="shared" si="1"/>
        <v>7452.4000000000015</v>
      </c>
    </row>
    <row r="13" spans="1:9" ht="18.75" thickBot="1">
      <c r="A13" s="23" t="s">
        <v>28</v>
      </c>
      <c r="B13" s="43">
        <f>B6-B8-B9-B10-B11-B12</f>
        <v>10706.799999999992</v>
      </c>
      <c r="C13" s="43">
        <f>C6-C8-C9-C10-C11-C12</f>
        <v>19141.899999999885</v>
      </c>
      <c r="D13" s="43">
        <f>D6-D8-D9-D10-D11-D12</f>
        <v>4509.400000000036</v>
      </c>
      <c r="E13" s="1">
        <f>D13/D6*100</f>
        <v>1.2861239281112329</v>
      </c>
      <c r="F13" s="1">
        <f t="shared" si="3"/>
        <v>42.11715918855344</v>
      </c>
      <c r="G13" s="1">
        <f t="shared" si="0"/>
        <v>23.557745051432004</v>
      </c>
      <c r="H13" s="44">
        <f t="shared" si="2"/>
        <v>6197.399999999956</v>
      </c>
      <c r="I13" s="44">
        <f t="shared" si="1"/>
        <v>14632.499999999849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235242.5</v>
      </c>
      <c r="C18" s="46">
        <f>329127.1+600+14307.6+200+1333.8+15842.2+1513.4+30</f>
        <v>362954.1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</f>
        <v>188384.1</v>
      </c>
      <c r="E18" s="3">
        <f>D18/D151*100</f>
        <v>22.073843943030617</v>
      </c>
      <c r="F18" s="3">
        <f>D18/B18*100</f>
        <v>80.08081022774371</v>
      </c>
      <c r="G18" s="3">
        <f t="shared" si="0"/>
        <v>51.90300922348033</v>
      </c>
      <c r="H18" s="47">
        <f>B18-D18</f>
        <v>46858.399999999994</v>
      </c>
      <c r="I18" s="47">
        <f t="shared" si="1"/>
        <v>174569.99999999997</v>
      </c>
    </row>
    <row r="19" spans="1:13" s="37" customFormat="1" ht="18.75">
      <c r="A19" s="104" t="s">
        <v>83</v>
      </c>
      <c r="B19" s="97">
        <v>140223.5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</f>
        <v>117277.30000000003</v>
      </c>
      <c r="E19" s="95">
        <f>D19/D18*100</f>
        <v>62.25435161460019</v>
      </c>
      <c r="F19" s="95">
        <f t="shared" si="3"/>
        <v>83.63598113012442</v>
      </c>
      <c r="G19" s="95">
        <f t="shared" si="0"/>
        <v>48.96643292116467</v>
      </c>
      <c r="H19" s="105">
        <f t="shared" si="2"/>
        <v>22946.199999999968</v>
      </c>
      <c r="I19" s="105">
        <f t="shared" si="1"/>
        <v>122228.19999999997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235242.5</v>
      </c>
      <c r="C25" s="43">
        <f>C18</f>
        <v>362954.1</v>
      </c>
      <c r="D25" s="43">
        <f>D18</f>
        <v>188384.1</v>
      </c>
      <c r="E25" s="1">
        <f>D25/D18*100</f>
        <v>100</v>
      </c>
      <c r="F25" s="1">
        <f t="shared" si="3"/>
        <v>80.08081022774371</v>
      </c>
      <c r="G25" s="1">
        <f t="shared" si="0"/>
        <v>51.90300922348033</v>
      </c>
      <c r="H25" s="44">
        <f t="shared" si="2"/>
        <v>46858.399999999994</v>
      </c>
      <c r="I25" s="44">
        <f t="shared" si="1"/>
        <v>174569.99999999997</v>
      </c>
    </row>
    <row r="26" spans="1:9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38479.6</v>
      </c>
      <c r="C33" s="46">
        <f>67303.3-3099.2+301.7+44</f>
        <v>64549.8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+6337.9+109.8+15.3+36.6+1.7+83.7+2979.8+0.2+10.7+53.7+252.7+15.7+4.7</f>
        <v>34393.499999999985</v>
      </c>
      <c r="E33" s="3">
        <f>D33/D151*100</f>
        <v>4.0300468651792976</v>
      </c>
      <c r="F33" s="3">
        <f>D33/B33*100</f>
        <v>89.38112662293783</v>
      </c>
      <c r="G33" s="3">
        <f t="shared" si="0"/>
        <v>53.28211706310474</v>
      </c>
      <c r="H33" s="47">
        <f t="shared" si="2"/>
        <v>4086.100000000013</v>
      </c>
      <c r="I33" s="47">
        <f t="shared" si="1"/>
        <v>30156.300000000017</v>
      </c>
    </row>
    <row r="34" spans="1:9" ht="18">
      <c r="A34" s="23" t="s">
        <v>3</v>
      </c>
      <c r="B34" s="42">
        <v>31736.2</v>
      </c>
      <c r="C34" s="43">
        <f>55535.9-3105.8+301.7</f>
        <v>52731.799999999996</v>
      </c>
      <c r="D34" s="44">
        <f>1743.2+1833.7+1830.2+1935.3+81+1854.2+129.9+1804.7+34.4+1.5+1881.6+1967.7+0.1+1784.4+235.6+2357.6-0.1+6335.8+2919.9+53.7+142.8</f>
        <v>28927.2</v>
      </c>
      <c r="E34" s="1">
        <f>D34/D33*100</f>
        <v>84.10658990797684</v>
      </c>
      <c r="F34" s="1">
        <f t="shared" si="3"/>
        <v>91.14890881706064</v>
      </c>
      <c r="G34" s="1">
        <f t="shared" si="0"/>
        <v>54.85722088000031</v>
      </c>
      <c r="H34" s="44">
        <f t="shared" si="2"/>
        <v>2809</v>
      </c>
      <c r="I34" s="44">
        <f t="shared" si="1"/>
        <v>23804.599999999995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1625.5</v>
      </c>
      <c r="C36" s="43">
        <v>2945.3</v>
      </c>
      <c r="D36" s="44">
        <f>5.4+1.2+41.8+16.1+2.9+29.7+160.9+0.8+93.4+46.9+11.2+0.1+15.2+184.7+9.2+183.2+0.9+11.9+0.1+174+0.1+59.2+12.8+2+8.2+325.6+7.6-0.1+53.7+13.4+10.7+7.4+0.6+1.6+1.5+8.1+1.8</f>
        <v>1503.8</v>
      </c>
      <c r="E36" s="1">
        <f>D36/D33*100</f>
        <v>4.372337796385946</v>
      </c>
      <c r="F36" s="1">
        <f t="shared" si="3"/>
        <v>92.51307290064595</v>
      </c>
      <c r="G36" s="1">
        <f t="shared" si="0"/>
        <v>51.05761722065664</v>
      </c>
      <c r="H36" s="44">
        <f t="shared" si="2"/>
        <v>121.70000000000005</v>
      </c>
      <c r="I36" s="44">
        <f t="shared" si="1"/>
        <v>1441.5000000000002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7.4+12.3+6.1+3.3+9.3+3.2+58.1+36.7+24.4+18.9-18.9+0.1+12+83.3+21.3+10.7+4.7</f>
        <v>292.90000000000003</v>
      </c>
      <c r="E37" s="17">
        <f>D37/D33*100</f>
        <v>0.8516144038844554</v>
      </c>
      <c r="F37" s="17">
        <f t="shared" si="3"/>
        <v>57.29655712050079</v>
      </c>
      <c r="G37" s="17">
        <f t="shared" si="0"/>
        <v>34.213292839621545</v>
      </c>
      <c r="H37" s="53">
        <f t="shared" si="2"/>
        <v>218.29999999999995</v>
      </c>
      <c r="I37" s="53">
        <f t="shared" si="1"/>
        <v>563.2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0.07414191635047324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4581.199999999998</v>
      </c>
      <c r="C39" s="42">
        <f>C33-C34-C36-C37-C35-C38</f>
        <v>7935.8000000000075</v>
      </c>
      <c r="D39" s="42">
        <f>D33-D34-D36-D37-D35-D38</f>
        <v>3644.0999999999844</v>
      </c>
      <c r="E39" s="1">
        <f>D39/D33*100</f>
        <v>10.595315975402288</v>
      </c>
      <c r="F39" s="1">
        <f t="shared" si="3"/>
        <v>79.54466078756627</v>
      </c>
      <c r="G39" s="1">
        <f t="shared" si="0"/>
        <v>45.91975604223873</v>
      </c>
      <c r="H39" s="44">
        <f>B39-D39</f>
        <v>937.1000000000136</v>
      </c>
      <c r="I39" s="44">
        <f t="shared" si="1"/>
        <v>4291.700000000023</v>
      </c>
    </row>
    <row r="40" spans="1:9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1787.7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29.1+22+50.2+8.1+0.6+111.5+89.2+3+14.7+7.1+8.4+11.5+17.6+100.3+27.2+6.2-0.1+30.1+12.7+5+6.1+5+7.2+55.8+7.4+109.8-0.1+35+11.8+22.6+27.4+6.5+3.2+63.8+35.8+6.6+2.7+4+0.2+6.5+6.9+61+27.1-0.1+3.2+4.7+2.4+51.9</f>
        <v>1128.8000000000002</v>
      </c>
      <c r="E43" s="3">
        <f>D43/D151*100</f>
        <v>0.13226676265615286</v>
      </c>
      <c r="F43" s="3">
        <f>D43/B43*100</f>
        <v>63.14258544498519</v>
      </c>
      <c r="G43" s="3">
        <f t="shared" si="0"/>
        <v>50.53498679321306</v>
      </c>
      <c r="H43" s="47">
        <f t="shared" si="2"/>
        <v>658.8999999999999</v>
      </c>
      <c r="I43" s="47">
        <f t="shared" si="1"/>
        <v>1104.9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6940.2</v>
      </c>
      <c r="C45" s="46">
        <v>11788</v>
      </c>
      <c r="D45" s="47">
        <f>102.9+155.5+3.1+3.7+452.3+6+17.2+314.1+59.3+95.2+2.2+579+1.9+71.6+375.2+7+7.3+568.3+0.1+96.1+326.4+4.1+518.1-0.1+350+35.2+5.1+556.7+19.5+326.2+24.6+1+691.6</f>
        <v>5776.400000000001</v>
      </c>
      <c r="E45" s="3">
        <f>D45/D151*100</f>
        <v>0.6768477390210854</v>
      </c>
      <c r="F45" s="3">
        <f>D45/B45*100</f>
        <v>83.23103080602866</v>
      </c>
      <c r="G45" s="3">
        <f aca="true" t="shared" si="4" ref="G45:G76">D45/C45*100</f>
        <v>49.00237529691212</v>
      </c>
      <c r="H45" s="47">
        <f>B45-D45</f>
        <v>1163.7999999999993</v>
      </c>
      <c r="I45" s="47">
        <f aca="true" t="shared" si="5" ref="I45:I77">C45-D45</f>
        <v>6011.599999999999</v>
      </c>
    </row>
    <row r="46" spans="1:9" ht="18">
      <c r="A46" s="23" t="s">
        <v>3</v>
      </c>
      <c r="B46" s="42">
        <v>6150.2</v>
      </c>
      <c r="C46" s="43">
        <v>10529.7</v>
      </c>
      <c r="D46" s="44">
        <f>102.7+154.9+447.3+314.1+572.1+284.8+559+325.4+510.8+301.6+29.6+556.7+0.1+311.9+684.4</f>
        <v>5155.4</v>
      </c>
      <c r="E46" s="1">
        <f>D46/D45*100</f>
        <v>89.24935946264108</v>
      </c>
      <c r="F46" s="1">
        <f aca="true" t="shared" si="6" ref="F46:F74">D46/B46*100</f>
        <v>83.82491626288575</v>
      </c>
      <c r="G46" s="1">
        <f t="shared" si="4"/>
        <v>48.96055918022355</v>
      </c>
      <c r="H46" s="44">
        <f aca="true" t="shared" si="7" ref="H46:H74">B46-D46</f>
        <v>994.8000000000002</v>
      </c>
      <c r="I46" s="44">
        <f t="shared" si="5"/>
        <v>5374.300000000001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0.013849456408835954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</row>
    <row r="48" spans="1:9" ht="18">
      <c r="A48" s="23" t="s">
        <v>1</v>
      </c>
      <c r="B48" s="42">
        <v>48.4</v>
      </c>
      <c r="C48" s="43">
        <f>73.4+0.9</f>
        <v>74.30000000000001</v>
      </c>
      <c r="D48" s="44">
        <f>5.4+5.6+7.3+6+2.1+4.3</f>
        <v>30.700000000000003</v>
      </c>
      <c r="E48" s="1">
        <f>D48/D45*100</f>
        <v>0.5314728896890797</v>
      </c>
      <c r="F48" s="1">
        <f t="shared" si="6"/>
        <v>63.42975206611571</v>
      </c>
      <c r="G48" s="1">
        <f t="shared" si="4"/>
        <v>41.318977119784655</v>
      </c>
      <c r="H48" s="44">
        <f t="shared" si="7"/>
        <v>17.699999999999996</v>
      </c>
      <c r="I48" s="44">
        <f t="shared" si="5"/>
        <v>43.60000000000001</v>
      </c>
    </row>
    <row r="49" spans="1:9" ht="18">
      <c r="A49" s="23" t="s">
        <v>0</v>
      </c>
      <c r="B49" s="42">
        <v>559</v>
      </c>
      <c r="C49" s="43">
        <v>865.1</v>
      </c>
      <c r="D49" s="44">
        <f>3.1+3.5+1+0.7+59.3+95.2+2.2+6-0.1+53.5+89.7+6.2+7.2+73.9+0.4+4+3.2+30.6+0.2+2.7+3.1</f>
        <v>445.59999999999997</v>
      </c>
      <c r="E49" s="1">
        <f>D49/D45*100</f>
        <v>7.7141472197216245</v>
      </c>
      <c r="F49" s="1">
        <f t="shared" si="6"/>
        <v>79.71377459749553</v>
      </c>
      <c r="G49" s="1">
        <f t="shared" si="4"/>
        <v>51.5084961276153</v>
      </c>
      <c r="H49" s="44">
        <f t="shared" si="7"/>
        <v>113.40000000000003</v>
      </c>
      <c r="I49" s="44">
        <f t="shared" si="5"/>
        <v>419.50000000000006</v>
      </c>
    </row>
    <row r="50" spans="1:9" ht="18.75" thickBot="1">
      <c r="A50" s="23" t="s">
        <v>28</v>
      </c>
      <c r="B50" s="43">
        <f>B45-B46-B49-B48-B47</f>
        <v>181.79999999999998</v>
      </c>
      <c r="C50" s="43">
        <f>C45-C46-C49-C48-C47</f>
        <v>317.49999999999926</v>
      </c>
      <c r="D50" s="43">
        <f>D45-D46-D49-D48-D47</f>
        <v>143.90000000000094</v>
      </c>
      <c r="E50" s="1">
        <f>D50/D45*100</f>
        <v>2.491170971539383</v>
      </c>
      <c r="F50" s="1">
        <f t="shared" si="6"/>
        <v>79.15291529152968</v>
      </c>
      <c r="G50" s="1">
        <f t="shared" si="4"/>
        <v>45.322834645669694</v>
      </c>
      <c r="H50" s="44">
        <f t="shared" si="7"/>
        <v>37.89999999999904</v>
      </c>
      <c r="I50" s="44">
        <f t="shared" si="5"/>
        <v>173.59999999999832</v>
      </c>
    </row>
    <row r="51" spans="1:9" ht="18.75" thickBot="1">
      <c r="A51" s="22" t="s">
        <v>4</v>
      </c>
      <c r="B51" s="45">
        <f>14265.8+18.8</f>
        <v>14284.599999999999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</f>
        <v>11808.699999999999</v>
      </c>
      <c r="E51" s="3">
        <f>D51/D151*100</f>
        <v>1.383680474997973</v>
      </c>
      <c r="F51" s="3">
        <f>D51/B51*100</f>
        <v>82.66734805314815</v>
      </c>
      <c r="G51" s="3">
        <f t="shared" si="4"/>
        <v>49.38419782618696</v>
      </c>
      <c r="H51" s="47">
        <f>B51-D51</f>
        <v>2475.8999999999996</v>
      </c>
      <c r="I51" s="47">
        <f t="shared" si="5"/>
        <v>12103.199999999999</v>
      </c>
    </row>
    <row r="52" spans="1:9" ht="18">
      <c r="A52" s="23" t="s">
        <v>3</v>
      </c>
      <c r="B52" s="42">
        <v>9071.4</v>
      </c>
      <c r="C52" s="43">
        <f>16189.8-940.4</f>
        <v>15249.4</v>
      </c>
      <c r="D52" s="44">
        <f>392.4+738.8+389.6+752.9+403.1+730.4+397.8+724.9+1.1+0.1+403+795.7+527.1+1240.6</f>
        <v>7497.5</v>
      </c>
      <c r="E52" s="1">
        <f>D52/D51*100</f>
        <v>63.49132419317961</v>
      </c>
      <c r="F52" s="1">
        <f t="shared" si="6"/>
        <v>82.64986661375312</v>
      </c>
      <c r="G52" s="1">
        <f t="shared" si="4"/>
        <v>49.16586882106837</v>
      </c>
      <c r="H52" s="44">
        <f t="shared" si="7"/>
        <v>1573.8999999999996</v>
      </c>
      <c r="I52" s="44">
        <f t="shared" si="5"/>
        <v>7751.9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466.8</v>
      </c>
      <c r="C54" s="43">
        <v>810.2</v>
      </c>
      <c r="D54" s="44">
        <f>1.9+1.9+0.5+7.4+2.1+1.2+12.9+5.1+0.1+4.5+16.8+19.2+9.7+3.1+1.1+1.4+2.5+5.7+19.9+0.8+28.2+4+19.8+8.2+38.7+4.3+0.2+18.2+4.3+27.9+3.9+3+21+4+9.4+2.4+4.7+1.2</f>
        <v>321.1999999999999</v>
      </c>
      <c r="E54" s="1">
        <f>D54/D51*100</f>
        <v>2.7200284535977706</v>
      </c>
      <c r="F54" s="1">
        <f t="shared" si="6"/>
        <v>68.80891173950297</v>
      </c>
      <c r="G54" s="1">
        <f t="shared" si="4"/>
        <v>39.64453221426806</v>
      </c>
      <c r="H54" s="44">
        <f t="shared" si="7"/>
        <v>145.60000000000014</v>
      </c>
      <c r="I54" s="44">
        <f t="shared" si="5"/>
        <v>489.00000000000017</v>
      </c>
    </row>
    <row r="55" spans="1:9" ht="18">
      <c r="A55" s="23" t="s">
        <v>0</v>
      </c>
      <c r="B55" s="42">
        <v>580.2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</f>
        <v>495.90000000000015</v>
      </c>
      <c r="E55" s="1">
        <f>D55/D51*100</f>
        <v>4.199446171043385</v>
      </c>
      <c r="F55" s="1">
        <f t="shared" si="6"/>
        <v>85.47052740434334</v>
      </c>
      <c r="G55" s="1">
        <f t="shared" si="4"/>
        <v>46.664157335089875</v>
      </c>
      <c r="H55" s="44">
        <f t="shared" si="7"/>
        <v>84.2999999999999</v>
      </c>
      <c r="I55" s="44">
        <f t="shared" si="5"/>
        <v>566.8</v>
      </c>
    </row>
    <row r="56" spans="1:9" ht="18">
      <c r="A56" s="23" t="s">
        <v>14</v>
      </c>
      <c r="B56" s="42">
        <v>286.5</v>
      </c>
      <c r="C56" s="43">
        <v>518.9</v>
      </c>
      <c r="D56" s="43">
        <f>34+46+40+40+40+40</f>
        <v>240</v>
      </c>
      <c r="E56" s="1">
        <f>D56/D51*100</f>
        <v>2.032399840795346</v>
      </c>
      <c r="F56" s="1">
        <f>D56/B56*100</f>
        <v>83.7696335078534</v>
      </c>
      <c r="G56" s="1">
        <f>D56/C56*100</f>
        <v>46.25168625939487</v>
      </c>
      <c r="H56" s="44">
        <f t="shared" si="7"/>
        <v>46.5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3879.699999999999</v>
      </c>
      <c r="C57" s="43">
        <f>C51-C52-C55-C54-C53-C56</f>
        <v>6257.699999999999</v>
      </c>
      <c r="D57" s="43">
        <f>D51-D52-D55-D54-D53-D56</f>
        <v>3254.099999999999</v>
      </c>
      <c r="E57" s="1">
        <f>D57/D51*100</f>
        <v>27.556801341383892</v>
      </c>
      <c r="F57" s="1">
        <f t="shared" si="6"/>
        <v>83.8750418846818</v>
      </c>
      <c r="G57" s="1">
        <f t="shared" si="4"/>
        <v>52.0015341099765</v>
      </c>
      <c r="H57" s="44">
        <f>B57-D57</f>
        <v>625.5999999999999</v>
      </c>
      <c r="I57" s="44">
        <f>C57-D57</f>
        <v>3003.6</v>
      </c>
    </row>
    <row r="58" spans="1:9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4517.5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</f>
        <v>1564.1000000000004</v>
      </c>
      <c r="E59" s="3">
        <f>D59/D151*100</f>
        <v>0.18327289464075894</v>
      </c>
      <c r="F59" s="3">
        <f>D59/B59*100</f>
        <v>34.62313226342004</v>
      </c>
      <c r="G59" s="3">
        <f t="shared" si="4"/>
        <v>20.27060302484416</v>
      </c>
      <c r="H59" s="47">
        <f>B59-D59</f>
        <v>2953.3999999999996</v>
      </c>
      <c r="I59" s="47">
        <f t="shared" si="5"/>
        <v>6152</v>
      </c>
    </row>
    <row r="60" spans="1:9" ht="18">
      <c r="A60" s="23" t="s">
        <v>3</v>
      </c>
      <c r="B60" s="42">
        <v>1492.8</v>
      </c>
      <c r="C60" s="43">
        <f>2900.3-339.6</f>
        <v>2560.7000000000003</v>
      </c>
      <c r="D60" s="44">
        <f>55.6+146.1+60.8+59.3+73.6+0.1+67.3+144.6-4.5+79.7+66.8+72.2-0.1+53+75.7+69.4+0.1+39.1+101.5+64.4</f>
        <v>1224.7</v>
      </c>
      <c r="E60" s="1">
        <f>D60/D59*100</f>
        <v>78.30062016495107</v>
      </c>
      <c r="F60" s="1">
        <f t="shared" si="6"/>
        <v>82.04046087888533</v>
      </c>
      <c r="G60" s="1">
        <f t="shared" si="4"/>
        <v>47.826766118639426</v>
      </c>
      <c r="H60" s="44">
        <f t="shared" si="7"/>
        <v>268.0999999999999</v>
      </c>
      <c r="I60" s="44">
        <f t="shared" si="5"/>
        <v>1336.0000000000002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0.2045904993286874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v>220.6</v>
      </c>
      <c r="C62" s="43">
        <f>451.8-38.9</f>
        <v>412.90000000000003</v>
      </c>
      <c r="D62" s="44">
        <f>0.4+18.6+55.1+0.5+32.9+0.7+67.5+3.7+0.4+6.3+12.6+0.1+4.2+0.1</f>
        <v>203.09999999999997</v>
      </c>
      <c r="E62" s="1">
        <f>D62/D59*100</f>
        <v>12.985103254267624</v>
      </c>
      <c r="F62" s="1">
        <f t="shared" si="6"/>
        <v>92.06708975521303</v>
      </c>
      <c r="G62" s="1">
        <f t="shared" si="4"/>
        <v>49.18866553644949</v>
      </c>
      <c r="H62" s="44">
        <f t="shared" si="7"/>
        <v>17.50000000000003</v>
      </c>
      <c r="I62" s="44">
        <f t="shared" si="5"/>
        <v>209.80000000000007</v>
      </c>
    </row>
    <row r="63" spans="1:9" ht="18">
      <c r="A63" s="23" t="s">
        <v>14</v>
      </c>
      <c r="B63" s="42">
        <v>2124.5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2124.5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335.8999999999999</v>
      </c>
      <c r="C64" s="43">
        <f>C59-C60-C62-C63-C61</f>
        <v>691.7</v>
      </c>
      <c r="D64" s="43">
        <f>D59-D60-D62-D63-D61</f>
        <v>133.10000000000036</v>
      </c>
      <c r="E64" s="1">
        <f>D64/D59*100</f>
        <v>8.509686081452614</v>
      </c>
      <c r="F64" s="1">
        <f t="shared" si="6"/>
        <v>39.62488835963096</v>
      </c>
      <c r="G64" s="1">
        <f t="shared" si="4"/>
        <v>19.24244614717368</v>
      </c>
      <c r="H64" s="44">
        <f t="shared" si="7"/>
        <v>202.79999999999956</v>
      </c>
      <c r="I64" s="44">
        <f t="shared" si="5"/>
        <v>558.5999999999997</v>
      </c>
    </row>
    <row r="65" spans="1:9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338.2</v>
      </c>
      <c r="C69" s="46">
        <f>C70+C71</f>
        <v>417</v>
      </c>
      <c r="D69" s="47">
        <f>SUM(D70:D71)</f>
        <v>242.49999999999997</v>
      </c>
      <c r="E69" s="35">
        <f>D69/D151*100</f>
        <v>0.028414856435256073</v>
      </c>
      <c r="F69" s="3">
        <f>D69/B69*100</f>
        <v>71.70313424009461</v>
      </c>
      <c r="G69" s="3">
        <f t="shared" si="4"/>
        <v>58.15347721822541</v>
      </c>
      <c r="H69" s="47">
        <f>B69-D69</f>
        <v>95.70000000000002</v>
      </c>
      <c r="I69" s="47">
        <f t="shared" si="5"/>
        <v>174.50000000000003</v>
      </c>
    </row>
    <row r="70" spans="1:9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70.8-19.6</f>
        <v>51.199999999999996</v>
      </c>
      <c r="C71" s="43">
        <f>267.3-68.6-27.9+0.7-15-6.9-19.6</f>
        <v>130</v>
      </c>
      <c r="D71" s="44">
        <f>6.5</f>
        <v>6.5</v>
      </c>
      <c r="E71" s="1">
        <f>D71/D70*100</f>
        <v>2.7542372881355934</v>
      </c>
      <c r="F71" s="1">
        <f t="shared" si="6"/>
        <v>12.6953125</v>
      </c>
      <c r="G71" s="1">
        <f t="shared" si="4"/>
        <v>5</v>
      </c>
      <c r="H71" s="44">
        <f t="shared" si="7"/>
        <v>44.699999999999996</v>
      </c>
      <c r="I71" s="44">
        <f t="shared" si="5"/>
        <v>123.5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94805.7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</f>
        <v>54183.40000000001</v>
      </c>
      <c r="E90" s="3">
        <f>D90/D151*100</f>
        <v>6.348921782161049</v>
      </c>
      <c r="F90" s="3">
        <f aca="true" t="shared" si="10" ref="F90:F96">D90/B90*100</f>
        <v>57.152048874698465</v>
      </c>
      <c r="G90" s="3">
        <f t="shared" si="8"/>
        <v>34.238055188180596</v>
      </c>
      <c r="H90" s="47">
        <f aca="true" t="shared" si="11" ref="H90:H96">B90-D90</f>
        <v>40622.29999999999</v>
      </c>
      <c r="I90" s="47">
        <f t="shared" si="9"/>
        <v>104071.49999999999</v>
      </c>
    </row>
    <row r="91" spans="1:9" ht="18">
      <c r="A91" s="23" t="s">
        <v>3</v>
      </c>
      <c r="B91" s="42">
        <v>87574.6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</f>
        <v>49894.00000000001</v>
      </c>
      <c r="E91" s="1">
        <f>D91/D90*100</f>
        <v>92.08355326539125</v>
      </c>
      <c r="F91" s="1">
        <f t="shared" si="10"/>
        <v>56.97314061383095</v>
      </c>
      <c r="G91" s="1">
        <f t="shared" si="8"/>
        <v>33.772473410286075</v>
      </c>
      <c r="H91" s="44">
        <f t="shared" si="11"/>
        <v>37680.6</v>
      </c>
      <c r="I91" s="44">
        <f t="shared" si="9"/>
        <v>97841.70000000001</v>
      </c>
    </row>
    <row r="92" spans="1:9" ht="18">
      <c r="A92" s="23" t="s">
        <v>26</v>
      </c>
      <c r="B92" s="42">
        <v>1734.9</v>
      </c>
      <c r="C92" s="43">
        <v>2620.6</v>
      </c>
      <c r="D92" s="44">
        <f>48.5+5.1+5+1.3+22.8+67.3+62.7+3.5+1.4+40.6+112.7+571.4+55.5+1.7+2.4+3.1+83.6+0.9+1.4+3.5+0.9+23.5+44.4+1+13.6+0.7-0.1+42.8</f>
        <v>1221.2000000000003</v>
      </c>
      <c r="E92" s="1">
        <f>D92/D90*100</f>
        <v>2.2538268178076684</v>
      </c>
      <c r="F92" s="1">
        <f t="shared" si="10"/>
        <v>70.39022422041617</v>
      </c>
      <c r="G92" s="1">
        <f t="shared" si="8"/>
        <v>46.600015263680085</v>
      </c>
      <c r="H92" s="44">
        <f t="shared" si="11"/>
        <v>513.6999999999998</v>
      </c>
      <c r="I92" s="44">
        <f t="shared" si="9"/>
        <v>1399.3999999999996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5496.199999999992</v>
      </c>
      <c r="C94" s="43">
        <f>C90-C91-C92-C93</f>
        <v>7898.599999999982</v>
      </c>
      <c r="D94" s="43">
        <f>D90-D91-D92-D93</f>
        <v>3068.200000000001</v>
      </c>
      <c r="E94" s="1">
        <f>D94/D90*100</f>
        <v>5.662619916801088</v>
      </c>
      <c r="F94" s="1">
        <f t="shared" si="10"/>
        <v>55.82402387103828</v>
      </c>
      <c r="G94" s="1">
        <f>D94/C94*100</f>
        <v>38.84485858253372</v>
      </c>
      <c r="H94" s="44">
        <f t="shared" si="11"/>
        <v>2427.9999999999905</v>
      </c>
      <c r="I94" s="44">
        <f>C94-D94</f>
        <v>4830.399999999981</v>
      </c>
    </row>
    <row r="95" spans="1:9" ht="18.75">
      <c r="A95" s="108" t="s">
        <v>12</v>
      </c>
      <c r="B95" s="128">
        <f>38014.2-50+165</f>
        <v>38129.2</v>
      </c>
      <c r="C95" s="112">
        <f>59880.5+5316.8+172.8+165</f>
        <v>65535.100000000006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</f>
        <v>32001.600000000002</v>
      </c>
      <c r="E95" s="107">
        <f>D95/D151*100</f>
        <v>3.749776782261818</v>
      </c>
      <c r="F95" s="110">
        <f t="shared" si="10"/>
        <v>83.92937696043978</v>
      </c>
      <c r="G95" s="106">
        <f>D95/C95*100</f>
        <v>48.83123700124056</v>
      </c>
      <c r="H95" s="111">
        <f t="shared" si="11"/>
        <v>6127.599999999995</v>
      </c>
      <c r="I95" s="121">
        <f>C95-D95</f>
        <v>33533.5</v>
      </c>
    </row>
    <row r="96" spans="1:9" ht="18.75" thickBot="1">
      <c r="A96" s="109" t="s">
        <v>84</v>
      </c>
      <c r="B96" s="113">
        <v>5759</v>
      </c>
      <c r="C96" s="114">
        <f>10660.3-133.5+11.8</f>
        <v>10538.599999999999</v>
      </c>
      <c r="D96" s="115">
        <f>69.1+1043.7+68.3+1051.8+1+68.3+66.1+938.4+3+68.7+11.3+4.3+734+67.7+6.3+0.4+21.5+2.2+658.8+0.1</f>
        <v>4885</v>
      </c>
      <c r="E96" s="116">
        <f>D96/D95*100</f>
        <v>15.264861756912154</v>
      </c>
      <c r="F96" s="117">
        <f t="shared" si="10"/>
        <v>84.82375412397985</v>
      </c>
      <c r="G96" s="118">
        <f>D96/C96*100</f>
        <v>46.35340557569317</v>
      </c>
      <c r="H96" s="122">
        <f t="shared" si="11"/>
        <v>874</v>
      </c>
      <c r="I96" s="123">
        <f>C96-D96</f>
        <v>5653.5999999999985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7846.8+8.7</f>
        <v>7855.5</v>
      </c>
      <c r="C102" s="92">
        <f>12999.2-348+46.7-53.7+124.7-124.6+10.7+5.1+0.1</f>
        <v>12660.200000000003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</f>
        <v>5676.199999999999</v>
      </c>
      <c r="E102" s="19">
        <f>D102/D151*100</f>
        <v>0.6651068375167032</v>
      </c>
      <c r="F102" s="19">
        <f>D102/B102*100</f>
        <v>72.25765387308255</v>
      </c>
      <c r="G102" s="19">
        <f aca="true" t="shared" si="12" ref="G102:G149">D102/C102*100</f>
        <v>44.83499470782451</v>
      </c>
      <c r="H102" s="79">
        <f aca="true" t="shared" si="13" ref="H102:H107">B102-D102</f>
        <v>2179.300000000001</v>
      </c>
      <c r="I102" s="79">
        <f aca="true" t="shared" si="14" ref="I102:I149">C102-D102</f>
        <v>6984.000000000004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17.3+10+11+0.1+10.9+18.9+0.1+11+25.2</f>
        <v>104.49999999999999</v>
      </c>
      <c r="E103" s="83">
        <f>D103/D102*100</f>
        <v>1.8410204009724818</v>
      </c>
      <c r="F103" s="1">
        <f>D103/B103*100</f>
        <v>71.82130584192439</v>
      </c>
      <c r="G103" s="83">
        <f>D103/C103*100</f>
        <v>40.33191817830952</v>
      </c>
      <c r="H103" s="87">
        <f t="shared" si="13"/>
        <v>41.000000000000014</v>
      </c>
      <c r="I103" s="87">
        <f t="shared" si="14"/>
        <v>154.60000000000002</v>
      </c>
    </row>
    <row r="104" spans="1:9" ht="18">
      <c r="A104" s="85" t="s">
        <v>49</v>
      </c>
      <c r="B104" s="74">
        <f>6441.8+8.7</f>
        <v>6450.5</v>
      </c>
      <c r="C104" s="44">
        <f>10720.8-348+46.7-56.3+125.1-124.6-51.5+5.1</f>
        <v>10317.300000000001</v>
      </c>
      <c r="D104" s="44">
        <f>139.3+4+202+15.3-0.1+4+25.4+141.4+9.8+31.2+1.1+390.1+50+2+0.1+51.6+111.9+69.9+132+193.8+143.3+175.1+39.1+393+24.9+117+131.2+30.6+5+5+134.6+137.3+5+34.9+31.2+66.7+136.1+61.2+82.4+574+566.9+64.7+43+15.7+140+40.1</f>
        <v>4772.799999999999</v>
      </c>
      <c r="E104" s="1">
        <f>D104/D102*100</f>
        <v>84.08442267714317</v>
      </c>
      <c r="F104" s="1">
        <f aca="true" t="shared" si="15" ref="F104:F149">D104/B104*100</f>
        <v>73.99116347569955</v>
      </c>
      <c r="G104" s="1">
        <f t="shared" si="12"/>
        <v>46.26016496564022</v>
      </c>
      <c r="H104" s="44">
        <f t="shared" si="13"/>
        <v>1677.7000000000007</v>
      </c>
      <c r="I104" s="44">
        <f t="shared" si="14"/>
        <v>5544.500000000002</v>
      </c>
    </row>
    <row r="105" spans="1:9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1259.5</v>
      </c>
      <c r="C106" s="88">
        <f>C102-C103-C104</f>
        <v>2083.800000000001</v>
      </c>
      <c r="D106" s="88">
        <f>D102-D103-D104</f>
        <v>798.8999999999996</v>
      </c>
      <c r="E106" s="84">
        <f>D106/D102*100</f>
        <v>14.074556921884357</v>
      </c>
      <c r="F106" s="84">
        <f t="shared" si="15"/>
        <v>63.42993251290192</v>
      </c>
      <c r="G106" s="84">
        <f t="shared" si="12"/>
        <v>38.33861215087816</v>
      </c>
      <c r="H106" s="123">
        <f>B106-D106</f>
        <v>460.60000000000036</v>
      </c>
      <c r="I106" s="123">
        <f t="shared" si="14"/>
        <v>1284.9000000000015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233436.80000000002</v>
      </c>
      <c r="C107" s="81">
        <f>SUM(C108:C148)-C115-C119+C149-C140-C141-C109-C112-C122-C123-C138-C131-C129-C136</f>
        <v>529822.4</v>
      </c>
      <c r="D107" s="81">
        <f>SUM(D108:D148)-D115-D119+D149-D140-D141-D109-D112-D122-D123-D138-D131-D129-D136</f>
        <v>167648.09999999998</v>
      </c>
      <c r="E107" s="82">
        <f>D107/D151*100</f>
        <v>19.644110074818364</v>
      </c>
      <c r="F107" s="82">
        <f>D107/B107*100</f>
        <v>71.8173398538705</v>
      </c>
      <c r="G107" s="82">
        <f t="shared" si="12"/>
        <v>31.642320143504687</v>
      </c>
      <c r="H107" s="81">
        <f t="shared" si="13"/>
        <v>65788.70000000004</v>
      </c>
      <c r="I107" s="81">
        <f t="shared" si="14"/>
        <v>362174.30000000005</v>
      </c>
    </row>
    <row r="108" spans="1:9" ht="37.5">
      <c r="A108" s="28" t="s">
        <v>53</v>
      </c>
      <c r="B108" s="71">
        <v>2445.4</v>
      </c>
      <c r="C108" s="67">
        <v>4095.6</v>
      </c>
      <c r="D108" s="72">
        <f>12.6+3.2+110.8+149.9+0.1+86+66+19.9+30.9+1.3+4.4+3.9+8.5+1.6+0.1+167.2+12.2+0.7+2+1.4+0.1+115.6+14.7+10.7+8.1+0.6+3.1+4.1+2.8-0.2+122.3+40.3+0.6+1.6+1.5+0.1+131+0.3</f>
        <v>1140.0000000000002</v>
      </c>
      <c r="E108" s="6">
        <f>D108/D107*100</f>
        <v>0.6799957768683333</v>
      </c>
      <c r="F108" s="6">
        <f t="shared" si="15"/>
        <v>46.6181401815654</v>
      </c>
      <c r="G108" s="6">
        <f t="shared" si="12"/>
        <v>27.834749487254623</v>
      </c>
      <c r="H108" s="61">
        <f aca="true" t="shared" si="16" ref="H108:H149">B108-D108</f>
        <v>1305.3999999999999</v>
      </c>
      <c r="I108" s="61">
        <f t="shared" si="14"/>
        <v>2955.5999999999995</v>
      </c>
    </row>
    <row r="109" spans="1:9" ht="18">
      <c r="A109" s="23" t="s">
        <v>26</v>
      </c>
      <c r="B109" s="74">
        <v>1545.9</v>
      </c>
      <c r="C109" s="44">
        <v>2633.8</v>
      </c>
      <c r="D109" s="75">
        <f>68.3+138.7+47.8+60.9+18.1+30+81.4+40.6+14.7+2.7+31.2</f>
        <v>534.4000000000001</v>
      </c>
      <c r="E109" s="1">
        <f>D109/D108*100</f>
        <v>46.87719298245614</v>
      </c>
      <c r="F109" s="1">
        <f t="shared" si="15"/>
        <v>34.56885956400802</v>
      </c>
      <c r="G109" s="1">
        <f t="shared" si="12"/>
        <v>20.290075176550992</v>
      </c>
      <c r="H109" s="44">
        <f t="shared" si="16"/>
        <v>1011.5</v>
      </c>
      <c r="I109" s="44">
        <f t="shared" si="14"/>
        <v>2099.4</v>
      </c>
    </row>
    <row r="110" spans="1:9" ht="34.5" customHeight="1">
      <c r="A110" s="16" t="s">
        <v>79</v>
      </c>
      <c r="B110" s="73">
        <v>763.4</v>
      </c>
      <c r="C110" s="61">
        <v>1175.4</v>
      </c>
      <c r="D110" s="72">
        <f>11.8+87.5+28+44.4+7.5+8.9</f>
        <v>188.1</v>
      </c>
      <c r="E110" s="6">
        <f>D110/D107*100</f>
        <v>0.11219930318327496</v>
      </c>
      <c r="F110" s="6">
        <f>D110/B110*100</f>
        <v>24.639769452449567</v>
      </c>
      <c r="G110" s="6">
        <f t="shared" si="12"/>
        <v>16.003062787136294</v>
      </c>
      <c r="H110" s="61">
        <f t="shared" si="16"/>
        <v>575.3</v>
      </c>
      <c r="I110" s="61">
        <f t="shared" si="14"/>
        <v>987.3000000000001</v>
      </c>
    </row>
    <row r="111" spans="1:9" s="37" customFormat="1" ht="34.5" customHeight="1">
      <c r="A111" s="16" t="s">
        <v>98</v>
      </c>
      <c r="B111" s="73">
        <v>168.2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168.2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</f>
        <v>28</v>
      </c>
      <c r="E113" s="6">
        <f>D113/D107*100</f>
        <v>0.016701650659923975</v>
      </c>
      <c r="F113" s="6">
        <f t="shared" si="15"/>
        <v>46.666666666666664</v>
      </c>
      <c r="G113" s="6">
        <f t="shared" si="12"/>
        <v>46.666666666666664</v>
      </c>
      <c r="H113" s="61">
        <f t="shared" si="16"/>
        <v>32</v>
      </c>
      <c r="I113" s="61">
        <f t="shared" si="14"/>
        <v>32</v>
      </c>
    </row>
    <row r="114" spans="1:9" ht="37.5">
      <c r="A114" s="16" t="s">
        <v>39</v>
      </c>
      <c r="B114" s="73">
        <v>1760.5</v>
      </c>
      <c r="C114" s="61">
        <f>2915.4+6.2</f>
        <v>2921.6</v>
      </c>
      <c r="D114" s="72">
        <f>136.4+40+10+2+0.1+10.6+142+54.3+10.6+6.6+21.9+41.3+8.2+239.5+0.2+6.2+0.7+26.9+145.7+54.9+4+2+1.1+3.5+2.2+195.9+3.8+0.4+0.2+181.5+10+1.7</f>
        <v>1364.4000000000003</v>
      </c>
      <c r="E114" s="6">
        <f>D114/D107*100</f>
        <v>0.8138475771571526</v>
      </c>
      <c r="F114" s="6">
        <f t="shared" si="15"/>
        <v>77.50071002556093</v>
      </c>
      <c r="G114" s="6">
        <f t="shared" si="12"/>
        <v>46.70043811610078</v>
      </c>
      <c r="H114" s="61">
        <f t="shared" si="16"/>
        <v>396.0999999999997</v>
      </c>
      <c r="I114" s="61">
        <f t="shared" si="14"/>
        <v>1557.1999999999996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>
        <f>18</f>
        <v>18</v>
      </c>
      <c r="E117" s="6">
        <f>D117/D107*100</f>
        <v>0.01073677542423684</v>
      </c>
      <c r="F117" s="6">
        <f>D117/B117*100</f>
        <v>18.181818181818183</v>
      </c>
      <c r="G117" s="6">
        <f t="shared" si="12"/>
        <v>9.045226130653267</v>
      </c>
      <c r="H117" s="61">
        <f t="shared" si="16"/>
        <v>81</v>
      </c>
      <c r="I117" s="61">
        <f t="shared" si="14"/>
        <v>181</v>
      </c>
    </row>
    <row r="118" spans="1:9" s="2" customFormat="1" ht="18.75">
      <c r="A118" s="16" t="s">
        <v>15</v>
      </c>
      <c r="B118" s="73">
        <v>238.3</v>
      </c>
      <c r="C118" s="53">
        <v>422.8</v>
      </c>
      <c r="D118" s="72">
        <f>39+5+6.2+39.1+4.9+0.4+0.8+39+0.1+5.5+0.9+39+4.8+1.3+39-0.1+0.8+0.4+5</f>
        <v>231.10000000000008</v>
      </c>
      <c r="E118" s="6">
        <f>D118/D107*100</f>
        <v>0.1378482666967297</v>
      </c>
      <c r="F118" s="6">
        <f t="shared" si="15"/>
        <v>96.97859840537141</v>
      </c>
      <c r="G118" s="6">
        <f t="shared" si="12"/>
        <v>54.65941343424788</v>
      </c>
      <c r="H118" s="61">
        <f t="shared" si="16"/>
        <v>7.199999999999932</v>
      </c>
      <c r="I118" s="61">
        <f t="shared" si="14"/>
        <v>191.69999999999993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84.46559930765899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155</v>
      </c>
      <c r="C121" s="53">
        <v>520</v>
      </c>
      <c r="D121" s="76">
        <f>49.4+11</f>
        <v>60.4</v>
      </c>
      <c r="E121" s="17">
        <f>D121/D107*100</f>
        <v>0.03602784642355029</v>
      </c>
      <c r="F121" s="6">
        <f t="shared" si="15"/>
        <v>38.96774193548387</v>
      </c>
      <c r="G121" s="6">
        <f t="shared" si="12"/>
        <v>11.615384615384615</v>
      </c>
      <c r="H121" s="61">
        <f t="shared" si="16"/>
        <v>94.6</v>
      </c>
      <c r="I121" s="61">
        <f t="shared" si="14"/>
        <v>459.6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22896.2</v>
      </c>
      <c r="C124" s="53">
        <f>33585.8+9933.2-1212.8-350</f>
        <v>41956.2</v>
      </c>
      <c r="D124" s="76">
        <f>3483.8+2635.6+1853.3+812.9+1333.3+1694.1+1722.4+661.9+934+1328+225+1781.5+1097.2+0.1+1902.6</f>
        <v>21465.699999999997</v>
      </c>
      <c r="E124" s="17">
        <f>D124/D107*100</f>
        <v>12.80402223466893</v>
      </c>
      <c r="F124" s="6">
        <f t="shared" si="15"/>
        <v>93.75223836269772</v>
      </c>
      <c r="G124" s="6">
        <f t="shared" si="12"/>
        <v>51.16216435234839</v>
      </c>
      <c r="H124" s="61">
        <f t="shared" si="16"/>
        <v>1430.5000000000036</v>
      </c>
      <c r="I124" s="61">
        <f t="shared" si="14"/>
        <v>20490.5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0.009543800377099414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58</v>
      </c>
      <c r="B128" s="73">
        <v>847.5</v>
      </c>
      <c r="C128" s="53">
        <v>1253.3</v>
      </c>
      <c r="D128" s="76">
        <f>6.5+6.7+0.9+10.2+6.4+2.4+29+2.5+26.7+1.1+7.5+20.9+3.3+0.1+0.1+0.6+54.3+6.4+19+0.1+6.4-0.1+0.9+1+0.1+24+11.8+60.3+1.8+4+2+10.5+0.5+0.1+1.1</f>
        <v>329.1</v>
      </c>
      <c r="E128" s="17">
        <f>D128/D107*100</f>
        <v>0.1963040440064636</v>
      </c>
      <c r="F128" s="6">
        <f t="shared" si="15"/>
        <v>38.83185840707965</v>
      </c>
      <c r="G128" s="6">
        <f t="shared" si="12"/>
        <v>26.258677092475867</v>
      </c>
      <c r="H128" s="61">
        <f t="shared" si="16"/>
        <v>518.4</v>
      </c>
      <c r="I128" s="61">
        <f t="shared" si="14"/>
        <v>924.1999999999999</v>
      </c>
    </row>
    <row r="129" spans="1:9" s="32" customFormat="1" ht="18">
      <c r="A129" s="23" t="s">
        <v>89</v>
      </c>
      <c r="B129" s="74">
        <v>231</v>
      </c>
      <c r="C129" s="44">
        <v>459.6</v>
      </c>
      <c r="D129" s="75">
        <f>6.4+6.4+6.4+6.4+6.4+24+6.4</f>
        <v>62.4</v>
      </c>
      <c r="E129" s="1">
        <f>D129/D128*100</f>
        <v>18.960802187784868</v>
      </c>
      <c r="F129" s="1">
        <f>D129/B129*100</f>
        <v>27.01298701298701</v>
      </c>
      <c r="G129" s="1">
        <f t="shared" si="12"/>
        <v>13.577023498694516</v>
      </c>
      <c r="H129" s="44">
        <f t="shared" si="16"/>
        <v>168.6</v>
      </c>
      <c r="I129" s="44">
        <f t="shared" si="14"/>
        <v>397.20000000000005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43.1</v>
      </c>
      <c r="C134" s="53">
        <v>108.1</v>
      </c>
      <c r="D134" s="76">
        <f>3.8+10.3+1.3</f>
        <v>15.400000000000002</v>
      </c>
      <c r="E134" s="17">
        <f>D134/D107*100</f>
        <v>0.009185907862958186</v>
      </c>
      <c r="F134" s="6">
        <f t="shared" si="15"/>
        <v>35.730858468677496</v>
      </c>
      <c r="G134" s="6">
        <f t="shared" si="12"/>
        <v>14.246068455134136</v>
      </c>
      <c r="H134" s="61">
        <f t="shared" si="16"/>
        <v>27.7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295</v>
      </c>
      <c r="C135" s="53">
        <v>626.8</v>
      </c>
      <c r="D135" s="76">
        <f>1.2+14.1</f>
        <v>15.299999999999999</v>
      </c>
      <c r="E135" s="17">
        <f>D135/D107*100</f>
        <v>0.009126259110601314</v>
      </c>
      <c r="F135" s="6">
        <f t="shared" si="15"/>
        <v>5.186440677966101</v>
      </c>
      <c r="G135" s="6">
        <f t="shared" si="12"/>
        <v>2.4409700063816206</v>
      </c>
      <c r="H135" s="61">
        <f t="shared" si="16"/>
        <v>279.7</v>
      </c>
      <c r="I135" s="61">
        <f t="shared" si="14"/>
        <v>611.5</v>
      </c>
    </row>
    <row r="136" spans="1:9" s="32" customFormat="1" ht="18">
      <c r="A136" s="23" t="s">
        <v>89</v>
      </c>
      <c r="B136" s="74">
        <v>180</v>
      </c>
      <c r="C136" s="44">
        <v>400</v>
      </c>
      <c r="D136" s="75">
        <f>1.2</f>
        <v>1.2</v>
      </c>
      <c r="E136" s="1"/>
      <c r="F136" s="6">
        <f>D136/B136*100</f>
        <v>0.6666666666666666</v>
      </c>
      <c r="G136" s="1">
        <f>D136/C136*100</f>
        <v>0.3</v>
      </c>
      <c r="H136" s="44">
        <f>B136-D136</f>
        <v>178.8</v>
      </c>
      <c r="I136" s="44">
        <f>C136-D136</f>
        <v>398.8</v>
      </c>
    </row>
    <row r="137" spans="1:9" s="2" customFormat="1" ht="37.5">
      <c r="A137" s="16" t="s">
        <v>85</v>
      </c>
      <c r="B137" s="73">
        <v>248.3</v>
      </c>
      <c r="C137" s="53">
        <v>381.2</v>
      </c>
      <c r="D137" s="76">
        <f>0.5+1.3+15.9+33.5+3+0.6+15.2+1.3+36.5+1.9+0.3+0.3+0.6+5+2+16.5+0.1+0.5+1.2+18.6-0.1+0.3+0.5+0.5+16+2</f>
        <v>173.99999999999997</v>
      </c>
      <c r="E137" s="17">
        <f>D137/D107*100</f>
        <v>0.10378882910095612</v>
      </c>
      <c r="F137" s="6">
        <f t="shared" si="15"/>
        <v>70.07652033830043</v>
      </c>
      <c r="G137" s="6">
        <f>D137/C137*100</f>
        <v>45.64533053515215</v>
      </c>
      <c r="H137" s="61">
        <f t="shared" si="16"/>
        <v>74.30000000000004</v>
      </c>
      <c r="I137" s="61">
        <f t="shared" si="14"/>
        <v>207.20000000000002</v>
      </c>
    </row>
    <row r="138" spans="1:9" s="32" customFormat="1" ht="18">
      <c r="A138" s="23" t="s">
        <v>26</v>
      </c>
      <c r="B138" s="74">
        <v>201.4</v>
      </c>
      <c r="C138" s="44">
        <v>306.1</v>
      </c>
      <c r="D138" s="75">
        <f>15.9+33.5+15.2+36.5+0.3+4.6+16.5-0.1+1.2+16+0.3+16+0.1</f>
        <v>156</v>
      </c>
      <c r="E138" s="1">
        <f>D138/D137*100</f>
        <v>89.65517241379311</v>
      </c>
      <c r="F138" s="1">
        <f t="shared" si="15"/>
        <v>77.45779543197617</v>
      </c>
      <c r="G138" s="1">
        <f>D138/C138*100</f>
        <v>50.96373734073831</v>
      </c>
      <c r="H138" s="44">
        <f t="shared" si="16"/>
        <v>45.400000000000006</v>
      </c>
      <c r="I138" s="44">
        <f t="shared" si="14"/>
        <v>150.10000000000002</v>
      </c>
    </row>
    <row r="139" spans="1:9" s="2" customFormat="1" ht="18.75">
      <c r="A139" s="16" t="s">
        <v>101</v>
      </c>
      <c r="B139" s="73">
        <v>890.4</v>
      </c>
      <c r="C139" s="53">
        <f>1397.4+115.2</f>
        <v>1512.6000000000001</v>
      </c>
      <c r="D139" s="76">
        <f>26+59.9+0.4-0.1+0.1+27.3+5.8+57.7+6.3+46.3+13.6+50.5+6-0.1+43.3+3.1+0.2+52.2+16.7+42.4+4.7+8+55+5.3+39.2+0.5+5+82.1</f>
        <v>657.4</v>
      </c>
      <c r="E139" s="17">
        <f>D139/D107*100</f>
        <v>0.39213089799407214</v>
      </c>
      <c r="F139" s="6">
        <f t="shared" si="15"/>
        <v>73.83198562443846</v>
      </c>
      <c r="G139" s="6">
        <f t="shared" si="12"/>
        <v>43.461589316408826</v>
      </c>
      <c r="H139" s="61">
        <f t="shared" si="16"/>
        <v>233</v>
      </c>
      <c r="I139" s="61">
        <f t="shared" si="14"/>
        <v>855.2000000000002</v>
      </c>
    </row>
    <row r="140" spans="1:9" s="32" customFormat="1" ht="18">
      <c r="A140" s="33" t="s">
        <v>44</v>
      </c>
      <c r="B140" s="74">
        <v>679.9</v>
      </c>
      <c r="C140" s="44">
        <f>1063.5+115.2</f>
        <v>1178.7</v>
      </c>
      <c r="D140" s="75">
        <f>26+59.9+27.3+57.1-0.1+46.3+42.7-0.1+36.4+51.8+8.5+28+53.1+4.3+35.3+82.1</f>
        <v>558.6</v>
      </c>
      <c r="E140" s="1">
        <f>D140/D139*100</f>
        <v>84.97109826589596</v>
      </c>
      <c r="F140" s="1">
        <f aca="true" t="shared" si="17" ref="F140:F148">D140/B140*100</f>
        <v>82.15914105015443</v>
      </c>
      <c r="G140" s="1">
        <f t="shared" si="12"/>
        <v>47.39119368796131</v>
      </c>
      <c r="H140" s="44">
        <f t="shared" si="16"/>
        <v>121.29999999999995</v>
      </c>
      <c r="I140" s="44">
        <f t="shared" si="14"/>
        <v>620.1</v>
      </c>
    </row>
    <row r="141" spans="1:9" s="32" customFormat="1" ht="18">
      <c r="A141" s="23" t="s">
        <v>26</v>
      </c>
      <c r="B141" s="74">
        <v>24.5</v>
      </c>
      <c r="C141" s="44">
        <v>37.5</v>
      </c>
      <c r="D141" s="75">
        <f>0.4+5.6+0.6+6+0.1+3.7+0.1+0.4+1+0.3</f>
        <v>18.2</v>
      </c>
      <c r="E141" s="1">
        <f>D141/D139*100</f>
        <v>2.7684818983875874</v>
      </c>
      <c r="F141" s="1">
        <f t="shared" si="17"/>
        <v>74.28571428571429</v>
      </c>
      <c r="G141" s="1">
        <f>D141/C141*100</f>
        <v>48.53333333333333</v>
      </c>
      <c r="H141" s="44">
        <f t="shared" si="16"/>
        <v>6.300000000000001</v>
      </c>
      <c r="I141" s="44">
        <f t="shared" si="14"/>
        <v>19.3</v>
      </c>
    </row>
    <row r="142" spans="1:9" s="2" customFormat="1" ht="18.75" customHeight="1">
      <c r="A142" s="18" t="s">
        <v>57</v>
      </c>
      <c r="B142" s="73">
        <v>1452.5</v>
      </c>
      <c r="C142" s="53">
        <f>200+300+1250</f>
        <v>1750</v>
      </c>
      <c r="D142" s="76">
        <f>300</f>
        <v>300</v>
      </c>
      <c r="E142" s="17">
        <f>D142/D107*100</f>
        <v>0.178946257070614</v>
      </c>
      <c r="F142" s="99">
        <f t="shared" si="17"/>
        <v>20.65404475043029</v>
      </c>
      <c r="G142" s="6">
        <f t="shared" si="12"/>
        <v>17.142857142857142</v>
      </c>
      <c r="H142" s="61">
        <f t="shared" si="16"/>
        <v>1152.5</v>
      </c>
      <c r="I142" s="61">
        <f t="shared" si="14"/>
        <v>1450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102</v>
      </c>
      <c r="B144" s="73">
        <v>21941.5</v>
      </c>
      <c r="C144" s="53">
        <f>67967+150-2500-1878-220</f>
        <v>63519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</f>
        <v>19023.799999999996</v>
      </c>
      <c r="E144" s="17">
        <f>D144/D107*100</f>
        <v>11.347459350866487</v>
      </c>
      <c r="F144" s="99">
        <f t="shared" si="17"/>
        <v>86.70236765945808</v>
      </c>
      <c r="G144" s="6">
        <f t="shared" si="12"/>
        <v>29.949778806341403</v>
      </c>
      <c r="H144" s="61">
        <f t="shared" si="16"/>
        <v>2917.7000000000044</v>
      </c>
      <c r="I144" s="61">
        <f t="shared" si="14"/>
        <v>44495.200000000004</v>
      </c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19.2+57.2</f>
        <v>76.4</v>
      </c>
      <c r="E146" s="17">
        <f>D146/D107*100</f>
        <v>0.04557164680064971</v>
      </c>
      <c r="F146" s="99">
        <f t="shared" si="17"/>
        <v>60.97366320830009</v>
      </c>
      <c r="G146" s="6">
        <f t="shared" si="12"/>
        <v>32.64957264957265</v>
      </c>
      <c r="H146" s="61">
        <f t="shared" si="16"/>
        <v>48.89999999999999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v>6849.9</v>
      </c>
      <c r="C147" s="53">
        <v>10550.8</v>
      </c>
      <c r="D147" s="76">
        <f>1601.8+39.7+92.5+565.2+121.3+853.6+638.8+424+800.9+24.5+1.5+318.7+33.7+748.2</f>
        <v>6264.399999999999</v>
      </c>
      <c r="E147" s="17">
        <f>D147/D107*100</f>
        <v>3.736636442643847</v>
      </c>
      <c r="F147" s="99">
        <f t="shared" si="17"/>
        <v>91.45242996248119</v>
      </c>
      <c r="G147" s="6">
        <f t="shared" si="12"/>
        <v>59.373696781286725</v>
      </c>
      <c r="H147" s="61">
        <f t="shared" si="16"/>
        <v>585.5000000000009</v>
      </c>
      <c r="I147" s="61">
        <f t="shared" si="14"/>
        <v>4286.400000000001</v>
      </c>
      <c r="K147" s="38"/>
      <c r="L147" s="38"/>
    </row>
    <row r="148" spans="1:12" s="2" customFormat="1" ht="19.5" customHeight="1">
      <c r="A148" s="16" t="s">
        <v>51</v>
      </c>
      <c r="B148" s="73">
        <v>153791</v>
      </c>
      <c r="C148" s="53">
        <f>376354.8-1000+14285.9-198-200-300-15786.4-2950-2519.8</f>
        <v>367686.5</v>
      </c>
      <c r="D148" s="76">
        <f>69938.3+2324.7+1312.6+155+2603.6+1211+415+5415.4+691.3+550.4+1878.3+788.4+1157.7+1447.6+460+220+1003.2+463.4+1549.4+4235.7+2898</f>
        <v>100718.99999999999</v>
      </c>
      <c r="E148" s="17">
        <f>D148/D107*100</f>
        <v>60.07762688631723</v>
      </c>
      <c r="F148" s="6">
        <f t="shared" si="17"/>
        <v>65.49082846200362</v>
      </c>
      <c r="G148" s="6">
        <f t="shared" si="12"/>
        <v>27.392629318726687</v>
      </c>
      <c r="H148" s="61">
        <f t="shared" si="16"/>
        <v>53072.000000000015</v>
      </c>
      <c r="I148" s="61">
        <f t="shared" si="14"/>
        <v>266967.5</v>
      </c>
      <c r="K148" s="91"/>
      <c r="L148" s="38"/>
    </row>
    <row r="149" spans="1:12" s="2" customFormat="1" ht="18.75">
      <c r="A149" s="16" t="s">
        <v>104</v>
      </c>
      <c r="B149" s="73">
        <v>17199.7</v>
      </c>
      <c r="C149" s="53">
        <v>29485.2</v>
      </c>
      <c r="D149" s="76">
        <f>819+819+819.1+819+819+819.1+819+819+819.1+819+819+819.1+819.1+819+819+819+819.1+819+819</f>
        <v>15561.6</v>
      </c>
      <c r="E149" s="17">
        <f>D149/D107*100</f>
        <v>9.28230024676689</v>
      </c>
      <c r="F149" s="6">
        <f t="shared" si="15"/>
        <v>90.47599667436059</v>
      </c>
      <c r="G149" s="6">
        <f t="shared" si="12"/>
        <v>52.77766472671035</v>
      </c>
      <c r="H149" s="61">
        <f t="shared" si="16"/>
        <v>1638.1000000000004</v>
      </c>
      <c r="I149" s="61">
        <f t="shared" si="14"/>
        <v>13923.6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244331.1</v>
      </c>
      <c r="C150" s="77">
        <f>C43+C69+C72+C77+C79+C87+C102+C107+C100+C84+C98</f>
        <v>546046.2000000001</v>
      </c>
      <c r="D150" s="53">
        <f>D43+D69+D72+D77+D79+D87+D102+D107+D100+D84+D98</f>
        <v>174695.59999999998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1085232.8999999997</v>
      </c>
      <c r="C151" s="47">
        <f>C6+C18+C33+C43+C51+C59+C69+C72+C77+C79+C87+C90+C95+C102+C107+C100+C84+C98+C45</f>
        <v>1879695.5999999996</v>
      </c>
      <c r="D151" s="47">
        <f>D6+D18+D33+D43+D51+D59+D69+D72+D77+D79+D87+D90+D95+D102+D107+D100+D84+D98+D45</f>
        <v>853426.7999999999</v>
      </c>
      <c r="E151" s="31">
        <v>100</v>
      </c>
      <c r="F151" s="3">
        <f>D151/B151*100</f>
        <v>78.63996751296428</v>
      </c>
      <c r="G151" s="3">
        <f aca="true" t="shared" si="18" ref="G151:G157">D151/C151*100</f>
        <v>45.40239387696604</v>
      </c>
      <c r="H151" s="47">
        <f aca="true" t="shared" si="19" ref="H151:H157">B151-D151</f>
        <v>231806.09999999974</v>
      </c>
      <c r="I151" s="47">
        <f aca="true" t="shared" si="20" ref="I151:I157">C151-D151</f>
        <v>1026268.7999999997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455758.0000000001</v>
      </c>
      <c r="C152" s="60">
        <f>C8+C20+C34+C52+C60+C91+C115+C119+C46+C140+C131+C103</f>
        <v>727911</v>
      </c>
      <c r="D152" s="60">
        <f>D8+D20+D34+D52+D60+D91+D115+D119+D46+D140+D131+D103</f>
        <v>370846.4</v>
      </c>
      <c r="E152" s="6">
        <f>D152/D151*100</f>
        <v>43.45380295064557</v>
      </c>
      <c r="F152" s="6">
        <f aca="true" t="shared" si="21" ref="F152:F157">D152/B152*100</f>
        <v>81.36914766169764</v>
      </c>
      <c r="G152" s="6">
        <f t="shared" si="18"/>
        <v>50.946667930557446</v>
      </c>
      <c r="H152" s="61">
        <f t="shared" si="19"/>
        <v>84911.6000000001</v>
      </c>
      <c r="I152" s="72">
        <f t="shared" si="20"/>
        <v>357064.6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64757.2</v>
      </c>
      <c r="C153" s="61">
        <f>C11+C23+C36+C55+C62+C92+C49+C141+C109+C112+C96+C138</f>
        <v>102323.1</v>
      </c>
      <c r="D153" s="61">
        <f>D11+D23+D36+D55+D62+D92+D49+D141+D109+D112+D96+D138</f>
        <v>54109.49999999999</v>
      </c>
      <c r="E153" s="6">
        <f>D153/D151*100</f>
        <v>6.340262574364901</v>
      </c>
      <c r="F153" s="6">
        <f t="shared" si="21"/>
        <v>83.55750403043986</v>
      </c>
      <c r="G153" s="6">
        <f t="shared" si="18"/>
        <v>52.88102100112291</v>
      </c>
      <c r="H153" s="61">
        <f t="shared" si="19"/>
        <v>10647.700000000004</v>
      </c>
      <c r="I153" s="72">
        <f t="shared" si="20"/>
        <v>48213.60000000001</v>
      </c>
      <c r="K153" s="39"/>
      <c r="L153" s="90"/>
    </row>
    <row r="154" spans="1:12" ht="18.75">
      <c r="A154" s="18" t="s">
        <v>1</v>
      </c>
      <c r="B154" s="60">
        <f>B22+B10+B54+B48+B61+B35+B123</f>
        <v>19356.5</v>
      </c>
      <c r="C154" s="60">
        <f>C22+C10+C54+C48+C61+C35+C123</f>
        <v>28689.7</v>
      </c>
      <c r="D154" s="60">
        <f>D22+D10+D54+D48+D61+D35+D123</f>
        <v>17930.2</v>
      </c>
      <c r="E154" s="6">
        <f>D154/D151*100</f>
        <v>2.1009651911564067</v>
      </c>
      <c r="F154" s="6">
        <f t="shared" si="21"/>
        <v>92.63141580347687</v>
      </c>
      <c r="G154" s="6">
        <f t="shared" si="18"/>
        <v>62.4969936946012</v>
      </c>
      <c r="H154" s="61">
        <f t="shared" si="19"/>
        <v>1426.2999999999993</v>
      </c>
      <c r="I154" s="72">
        <f t="shared" si="20"/>
        <v>10759.5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17325.8</v>
      </c>
      <c r="C155" s="60">
        <f>C12+C24+C104+C63+C38+C93+C129+C56+C136</f>
        <v>29512.3</v>
      </c>
      <c r="D155" s="60">
        <f>D12+D24+D104+D63+D38+D93+D129+D56+D136</f>
        <v>11678.099999999999</v>
      </c>
      <c r="E155" s="6">
        <f>D155/D151*100</f>
        <v>1.3683774636559338</v>
      </c>
      <c r="F155" s="6">
        <f t="shared" si="21"/>
        <v>67.40294820441191</v>
      </c>
      <c r="G155" s="6">
        <f t="shared" si="18"/>
        <v>39.57028086594402</v>
      </c>
      <c r="H155" s="61">
        <f>B155-D155</f>
        <v>5647.700000000001</v>
      </c>
      <c r="I155" s="72">
        <f t="shared" si="20"/>
        <v>17834.2</v>
      </c>
      <c r="K155" s="39"/>
      <c r="L155" s="90"/>
    </row>
    <row r="156" spans="1:12" ht="18.75">
      <c r="A156" s="18" t="s">
        <v>2</v>
      </c>
      <c r="B156" s="60">
        <f>B9+B21+B47+B53+B122</f>
        <v>52.699999999999996</v>
      </c>
      <c r="C156" s="60">
        <f>C9+C21+C47+C53+C122</f>
        <v>106.9</v>
      </c>
      <c r="D156" s="60">
        <f>D9+D21+D47+D53+D122</f>
        <v>23.900000000000002</v>
      </c>
      <c r="E156" s="6">
        <f>D156/D151*100</f>
        <v>0.0028004745105262695</v>
      </c>
      <c r="F156" s="6">
        <f t="shared" si="21"/>
        <v>45.351043643263765</v>
      </c>
      <c r="G156" s="6">
        <f t="shared" si="18"/>
        <v>22.35734331150608</v>
      </c>
      <c r="H156" s="61">
        <f t="shared" si="19"/>
        <v>28.799999999999994</v>
      </c>
      <c r="I156" s="72">
        <f t="shared" si="20"/>
        <v>83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527982.6999999996</v>
      </c>
      <c r="C157" s="78">
        <f>C151-C152-C153-C154-C155-C156</f>
        <v>991152.5999999995</v>
      </c>
      <c r="D157" s="78">
        <f>D151-D152-D153-D154-D155-D156</f>
        <v>398838.6999999999</v>
      </c>
      <c r="E157" s="36">
        <f>D157/D151*100</f>
        <v>46.73379134566667</v>
      </c>
      <c r="F157" s="36">
        <f t="shared" si="21"/>
        <v>75.54010765883052</v>
      </c>
      <c r="G157" s="36">
        <f t="shared" si="18"/>
        <v>40.239888388528676</v>
      </c>
      <c r="H157" s="126">
        <f t="shared" si="19"/>
        <v>129143.99999999971</v>
      </c>
      <c r="I157" s="126">
        <f t="shared" si="20"/>
        <v>592313.8999999997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853426.7999999999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853426.7999999999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2017-07-06T09:25:02Z</cp:lastPrinted>
  <dcterms:created xsi:type="dcterms:W3CDTF">2000-06-20T04:48:00Z</dcterms:created>
  <dcterms:modified xsi:type="dcterms:W3CDTF">2017-07-10T09:41:26Z</dcterms:modified>
  <cp:category/>
  <cp:version/>
  <cp:contentType/>
  <cp:contentStatus/>
</cp:coreProperties>
</file>